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jame\Dropbox\"/>
    </mc:Choice>
  </mc:AlternateContent>
  <xr:revisionPtr revIDLastSave="0" documentId="13_ncr:1_{9C9BD1F6-4AD4-4588-B40A-A6179B845C2B}" xr6:coauthVersionLast="45" xr6:coauthVersionMax="45" xr10:uidLastSave="{00000000-0000-0000-0000-000000000000}"/>
  <bookViews>
    <workbookView xWindow="11424" yWindow="-2562" windowWidth="23232" windowHeight="13152" tabRatio="500" xr2:uid="{00000000-000D-0000-FFFF-FFFF00000000}"/>
  </bookViews>
  <sheets>
    <sheet name="Price and margin" sheetId="1" r:id="rId1"/>
    <sheet name="About" sheetId="7" r:id="rId2"/>
  </sheets>
  <definedNames>
    <definedName name="buuyer_maintenance_margin">'Price and margin'!#REF!</definedName>
    <definedName name="buyer_initial_margin">'Price and margin'!$G$9</definedName>
    <definedName name="buyer_maintenance">'Price and margin'!#REF!</definedName>
    <definedName name="buyer_maintenance_margin">'Price and margin'!$G$6</definedName>
    <definedName name="initial_margin_markup">'Price and margin'!$B$13</definedName>
    <definedName name="notional">'Price and margin'!$G$4</definedName>
    <definedName name="payment">'Price and margin'!#REF!</definedName>
    <definedName name="seller_initial_margin">'Price and margin'!$G$10</definedName>
    <definedName name="seller_maintenance_margin">'Price and margin'!$G$7</definedName>
    <definedName name="start_spot_price">'Price and margin'!$B$7</definedName>
    <definedName name="strike">'Price and margin'!$B$5</definedName>
    <definedName name="trend">'Price and margin'!$B$9</definedName>
    <definedName name="volatility">'Price and margin'!$B$8</definedName>
    <definedName name="volume">'Price and margin'!$B$4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C21" i="1"/>
  <c r="C24" i="1" s="1"/>
  <c r="G5" i="1"/>
  <c r="G7" i="1" s="1"/>
  <c r="G10" i="1" s="1"/>
  <c r="B21" i="1"/>
  <c r="G4" i="1"/>
  <c r="B40" i="1" l="1"/>
  <c r="C31" i="1" s="1"/>
  <c r="C34" i="1"/>
  <c r="G6" i="1"/>
  <c r="C25" i="1"/>
  <c r="D21" i="1"/>
  <c r="E21" i="1" s="1"/>
  <c r="B39" i="1" l="1"/>
  <c r="C30" i="1" s="1"/>
  <c r="C33" i="1"/>
  <c r="C37" i="1"/>
  <c r="C40" i="1" s="1"/>
  <c r="D24" i="1"/>
  <c r="D27" i="1" s="1"/>
  <c r="D25" i="1"/>
  <c r="D28" i="1" s="1"/>
  <c r="D22" i="1"/>
  <c r="D31" i="1" l="1"/>
  <c r="D34" i="1" s="1"/>
  <c r="D37" i="1" s="1"/>
  <c r="D40" i="1" s="1"/>
  <c r="F21" i="1"/>
  <c r="E25" i="1"/>
  <c r="E28" i="1" s="1"/>
  <c r="E22" i="1"/>
  <c r="E24" i="1"/>
  <c r="E27" i="1" s="1"/>
  <c r="C36" i="1"/>
  <c r="C39" i="1" s="1"/>
  <c r="E31" i="1" l="1"/>
  <c r="E34" i="1" s="1"/>
  <c r="D30" i="1"/>
  <c r="D33" i="1" s="1"/>
  <c r="G21" i="1"/>
  <c r="F24" i="1"/>
  <c r="F27" i="1" s="1"/>
  <c r="F22" i="1"/>
  <c r="F25" i="1"/>
  <c r="F28" i="1" s="1"/>
  <c r="D36" i="1" l="1"/>
  <c r="D39" i="1" s="1"/>
  <c r="E37" i="1"/>
  <c r="E40" i="1" s="1"/>
  <c r="G25" i="1"/>
  <c r="G28" i="1" s="1"/>
  <c r="G24" i="1"/>
  <c r="G27" i="1" s="1"/>
  <c r="G22" i="1"/>
  <c r="H21" i="1"/>
  <c r="H25" i="1" l="1"/>
  <c r="H28" i="1" s="1"/>
  <c r="I21" i="1"/>
  <c r="H24" i="1"/>
  <c r="H27" i="1" s="1"/>
  <c r="H22" i="1"/>
  <c r="F31" i="1"/>
  <c r="F34" i="1" s="1"/>
  <c r="E30" i="1"/>
  <c r="E33" i="1" s="1"/>
  <c r="J21" i="1" l="1"/>
  <c r="I24" i="1"/>
  <c r="I27" i="1" s="1"/>
  <c r="I25" i="1"/>
  <c r="I28" i="1" s="1"/>
  <c r="I22" i="1"/>
  <c r="E36" i="1"/>
  <c r="E39" i="1" s="1"/>
  <c r="F37" i="1"/>
  <c r="F40" i="1" s="1"/>
  <c r="G31" i="1" l="1"/>
  <c r="G34" i="1" s="1"/>
  <c r="G37" i="1" s="1"/>
  <c r="G40" i="1" s="1"/>
  <c r="F30" i="1"/>
  <c r="F33" i="1" s="1"/>
  <c r="K21" i="1"/>
  <c r="J24" i="1"/>
  <c r="J27" i="1" s="1"/>
  <c r="J22" i="1"/>
  <c r="J25" i="1"/>
  <c r="J28" i="1" s="1"/>
  <c r="F36" i="1" l="1"/>
  <c r="F39" i="1" s="1"/>
  <c r="H31" i="1"/>
  <c r="H34" i="1" s="1"/>
  <c r="K24" i="1"/>
  <c r="K27" i="1" s="1"/>
  <c r="K25" i="1"/>
  <c r="K28" i="1" s="1"/>
  <c r="L21" i="1"/>
  <c r="K22" i="1"/>
  <c r="H37" i="1" l="1"/>
  <c r="H40" i="1" s="1"/>
  <c r="L25" i="1"/>
  <c r="L28" i="1" s="1"/>
  <c r="M21" i="1"/>
  <c r="L24" i="1"/>
  <c r="L27" i="1" s="1"/>
  <c r="L22" i="1"/>
  <c r="G30" i="1"/>
  <c r="G33" i="1" s="1"/>
  <c r="N21" i="1" l="1"/>
  <c r="M24" i="1"/>
  <c r="M27" i="1" s="1"/>
  <c r="M25" i="1"/>
  <c r="M28" i="1" s="1"/>
  <c r="M22" i="1"/>
  <c r="G36" i="1"/>
  <c r="G39" i="1" s="1"/>
  <c r="I31" i="1"/>
  <c r="I34" i="1" s="1"/>
  <c r="H30" i="1" l="1"/>
  <c r="H33" i="1" s="1"/>
  <c r="H36" i="1" s="1"/>
  <c r="H39" i="1" s="1"/>
  <c r="I37" i="1"/>
  <c r="I40" i="1" s="1"/>
  <c r="O21" i="1"/>
  <c r="N24" i="1"/>
  <c r="N27" i="1" s="1"/>
  <c r="N22" i="1"/>
  <c r="N25" i="1"/>
  <c r="N28" i="1" s="1"/>
  <c r="J31" i="1" l="1"/>
  <c r="J34" i="1" s="1"/>
  <c r="J37" i="1" s="1"/>
  <c r="J40" i="1" s="1"/>
  <c r="I30" i="1"/>
  <c r="I33" i="1" s="1"/>
  <c r="O24" i="1"/>
  <c r="O27" i="1" s="1"/>
  <c r="O25" i="1"/>
  <c r="O28" i="1" s="1"/>
  <c r="O22" i="1"/>
  <c r="P21" i="1"/>
  <c r="K31" i="1" l="1"/>
  <c r="K34" i="1" s="1"/>
  <c r="K37" i="1" s="1"/>
  <c r="K40" i="1" s="1"/>
  <c r="P25" i="1"/>
  <c r="P28" i="1" s="1"/>
  <c r="Q21" i="1"/>
  <c r="P24" i="1"/>
  <c r="P27" i="1" s="1"/>
  <c r="P22" i="1"/>
  <c r="I36" i="1"/>
  <c r="I39" i="1" s="1"/>
  <c r="L31" i="1" l="1"/>
  <c r="L34" i="1" s="1"/>
  <c r="R21" i="1"/>
  <c r="Q22" i="1"/>
  <c r="Q25" i="1"/>
  <c r="Q28" i="1" s="1"/>
  <c r="Q24" i="1"/>
  <c r="Q27" i="1" s="1"/>
  <c r="J30" i="1"/>
  <c r="J33" i="1" s="1"/>
  <c r="L37" i="1"/>
  <c r="L40" i="1" s="1"/>
  <c r="M31" i="1" l="1"/>
  <c r="M34" i="1" s="1"/>
  <c r="J36" i="1"/>
  <c r="J39" i="1" s="1"/>
  <c r="S21" i="1"/>
  <c r="R24" i="1"/>
  <c r="R27" i="1" s="1"/>
  <c r="R22" i="1"/>
  <c r="R25" i="1"/>
  <c r="R28" i="1" s="1"/>
  <c r="K30" i="1" l="1"/>
  <c r="K33" i="1" s="1"/>
  <c r="S25" i="1"/>
  <c r="S28" i="1" s="1"/>
  <c r="T21" i="1"/>
  <c r="S22" i="1"/>
  <c r="S24" i="1"/>
  <c r="S27" i="1" s="1"/>
  <c r="M37" i="1"/>
  <c r="M40" i="1" s="1"/>
  <c r="N31" i="1" l="1"/>
  <c r="N34" i="1" s="1"/>
  <c r="N37" i="1" s="1"/>
  <c r="N40" i="1" s="1"/>
  <c r="T25" i="1"/>
  <c r="T28" i="1" s="1"/>
  <c r="U21" i="1"/>
  <c r="T24" i="1"/>
  <c r="T27" i="1" s="1"/>
  <c r="T22" i="1"/>
  <c r="K36" i="1"/>
  <c r="K39" i="1" s="1"/>
  <c r="O31" i="1" l="1"/>
  <c r="O34" i="1" s="1"/>
  <c r="O37" i="1" s="1"/>
  <c r="O40" i="1" s="1"/>
  <c r="L30" i="1"/>
  <c r="L33" i="1" s="1"/>
  <c r="L36" i="1" s="1"/>
  <c r="V21" i="1"/>
  <c r="U24" i="1"/>
  <c r="U27" i="1" s="1"/>
  <c r="U22" i="1"/>
  <c r="U25" i="1"/>
  <c r="U28" i="1" s="1"/>
  <c r="L39" i="1" l="1"/>
  <c r="M30" i="1"/>
  <c r="M33" i="1" s="1"/>
  <c r="M36" i="1" s="1"/>
  <c r="M39" i="1" s="1"/>
  <c r="P31" i="1"/>
  <c r="P34" i="1" s="1"/>
  <c r="P37" i="1" s="1"/>
  <c r="P40" i="1" s="1"/>
  <c r="V24" i="1"/>
  <c r="V27" i="1" s="1"/>
  <c r="V22" i="1"/>
  <c r="V25" i="1"/>
  <c r="V28" i="1" s="1"/>
  <c r="N30" i="1" l="1"/>
  <c r="N33" i="1" s="1"/>
  <c r="N36" i="1" s="1"/>
  <c r="N39" i="1" s="1"/>
  <c r="Q31" i="1"/>
  <c r="Q34" i="1" s="1"/>
  <c r="Q37" i="1" l="1"/>
  <c r="Q40" i="1" s="1"/>
  <c r="O30" i="1"/>
  <c r="O33" i="1" s="1"/>
  <c r="O36" i="1" l="1"/>
  <c r="O39" i="1" s="1"/>
  <c r="R31" i="1"/>
  <c r="R34" i="1" s="1"/>
  <c r="R37" i="1" l="1"/>
  <c r="R40" i="1" s="1"/>
  <c r="P30" i="1"/>
  <c r="P33" i="1" s="1"/>
  <c r="S31" i="1" l="1"/>
  <c r="S34" i="1" s="1"/>
  <c r="S37" i="1" s="1"/>
  <c r="S40" i="1" s="1"/>
  <c r="P36" i="1"/>
  <c r="P39" i="1" s="1"/>
  <c r="Q30" i="1" l="1"/>
  <c r="Q33" i="1" s="1"/>
  <c r="T31" i="1"/>
  <c r="T34" i="1" s="1"/>
  <c r="T37" i="1" l="1"/>
  <c r="T40" i="1" s="1"/>
  <c r="Q36" i="1"/>
  <c r="Q39" i="1" s="1"/>
  <c r="R30" i="1" l="1"/>
  <c r="R33" i="1" s="1"/>
  <c r="U31" i="1"/>
  <c r="U34" i="1" s="1"/>
  <c r="U37" i="1" l="1"/>
  <c r="U40" i="1" s="1"/>
  <c r="B43" i="1" s="1"/>
  <c r="R36" i="1"/>
  <c r="R39" i="1" s="1"/>
  <c r="V31" i="1" l="1"/>
  <c r="V34" i="1" s="1"/>
  <c r="B46" i="1" s="1"/>
  <c r="B49" i="1" s="1"/>
  <c r="S30" i="1"/>
  <c r="S33" i="1" s="1"/>
  <c r="S36" i="1" l="1"/>
  <c r="S39" i="1" s="1"/>
  <c r="T30" i="1" l="1"/>
  <c r="T33" i="1" s="1"/>
  <c r="T36" i="1" l="1"/>
  <c r="T39" i="1" s="1"/>
  <c r="U30" i="1" l="1"/>
  <c r="U33" i="1" s="1"/>
  <c r="U36" i="1" l="1"/>
  <c r="U39" i="1" s="1"/>
  <c r="B42" i="1" s="1"/>
  <c r="V30" i="1" l="1"/>
  <c r="V33" i="1" s="1"/>
  <c r="B45" i="1" s="1"/>
  <c r="B48" i="1" s="1"/>
</calcChain>
</file>

<file path=xl/sharedStrings.xml><?xml version="1.0" encoding="utf-8"?>
<sst xmlns="http://schemas.openxmlformats.org/spreadsheetml/2006/main" count="60" uniqueCount="57">
  <si>
    <t>Volume (units)</t>
  </si>
  <si>
    <t>Strike price</t>
  </si>
  <si>
    <t>Starting spot price</t>
  </si>
  <si>
    <t>Spot volatility (day-to-day)</t>
  </si>
  <si>
    <t>Spot mean trend (day-to-day)</t>
  </si>
  <si>
    <t>-</t>
  </si>
  <si>
    <t>random</t>
  </si>
  <si>
    <t>Buyer's position MTM</t>
  </si>
  <si>
    <t>Buyer's Initial Margin</t>
  </si>
  <si>
    <t>Volatility protection percentile</t>
  </si>
  <si>
    <t>Buyer's Maintenance Margin</t>
  </si>
  <si>
    <t>Seller's Maintenance margin</t>
  </si>
  <si>
    <t>Buyer's EOD variation margin</t>
  </si>
  <si>
    <t>Seller's EOD variation margin</t>
  </si>
  <si>
    <t>Initial Margin Markup</t>
  </si>
  <si>
    <t>Seller's Initial Margin</t>
  </si>
  <si>
    <t>Preceding year's volatility</t>
  </si>
  <si>
    <t>Per unit protection</t>
  </si>
  <si>
    <t>Seller's position MTM</t>
  </si>
  <si>
    <t>Notional</t>
  </si>
  <si>
    <t>Buyer's unrealised PnL delta</t>
  </si>
  <si>
    <t>Seller's unrealised PnL delta</t>
  </si>
  <si>
    <t>Spot price</t>
  </si>
  <si>
    <t>Spot price movement</t>
  </si>
  <si>
    <t>Upfront</t>
  </si>
  <si>
    <t>End of day</t>
  </si>
  <si>
    <t>Buyer EOD margin account balance</t>
  </si>
  <si>
    <t>Seller EOD margin account balance</t>
  </si>
  <si>
    <t>Buyer collateral flow to clearing house</t>
  </si>
  <si>
    <t>Seller collateral flow to clearing house</t>
  </si>
  <si>
    <t>Buyer's SOD margin account balance</t>
  </si>
  <si>
    <t>Seller's SOD margin account balance</t>
  </si>
  <si>
    <t>Buyer's collateral payback</t>
  </si>
  <si>
    <t>Seller's collateral payback</t>
  </si>
  <si>
    <t>Buyer's total VM payments</t>
  </si>
  <si>
    <t>Seller's total VM payments</t>
  </si>
  <si>
    <t>Buyer's net cash and collateral flow from CH</t>
  </si>
  <si>
    <t>Seller's net cash and collateral flow from CH</t>
  </si>
  <si>
    <t>Contract End</t>
  </si>
  <si>
    <t>Cash Settled Futures Model</t>
  </si>
  <si>
    <t>Abbreviations</t>
  </si>
  <si>
    <t>VM</t>
  </si>
  <si>
    <t>MTM</t>
  </si>
  <si>
    <t>Mark-to-market</t>
  </si>
  <si>
    <t>Variance margin</t>
  </si>
  <si>
    <t>CH</t>
  </si>
  <si>
    <t>Clearing house</t>
  </si>
  <si>
    <t>EOD</t>
  </si>
  <si>
    <t>SOD</t>
  </si>
  <si>
    <t>PnL</t>
  </si>
  <si>
    <t>Licencing</t>
  </si>
  <si>
    <t xml:space="preserve">© James Barton, 2020. </t>
  </si>
  <si>
    <t>To view a copy of the license, visit https://creativecommons.org/licenses/by-sa/4.0/legalcode</t>
  </si>
  <si>
    <t>End of Day</t>
  </si>
  <si>
    <t>Profit and Loss</t>
  </si>
  <si>
    <t>Start of Day</t>
  </si>
  <si>
    <t>This work is licensed under the Creative Commons Attribution-ShareAlike 4.0 International Public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</si>
</sst>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0.000000000000000000000000000000000000000000000000000000000000000000000000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2"/>
    <xf numFmtId="165" fontId="2" fillId="2" borderId="1" xfId="2" applyNumberFormat="1"/>
    <xf numFmtId="164" fontId="0" fillId="0" borderId="0" xfId="1" applyFont="1"/>
    <xf numFmtId="164" fontId="3" fillId="3" borderId="2" xfId="3" applyNumberFormat="1"/>
    <xf numFmtId="164" fontId="2" fillId="2" borderId="1" xfId="1" applyFont="1" applyFill="1" applyBorder="1"/>
    <xf numFmtId="164" fontId="2" fillId="2" borderId="1" xfId="2" applyNumberFormat="1"/>
    <xf numFmtId="164" fontId="0" fillId="0" borderId="0" xfId="0" applyNumberFormat="1"/>
    <xf numFmtId="166" fontId="0" fillId="0" borderId="0" xfId="0" applyNumberFormat="1"/>
    <xf numFmtId="164" fontId="2" fillId="0" borderId="0" xfId="1" applyFont="1"/>
    <xf numFmtId="9" fontId="2" fillId="2" borderId="1" xfId="2" applyNumberFormat="1"/>
    <xf numFmtId="164" fontId="3" fillId="3" borderId="2" xfId="1" applyFont="1" applyFill="1" applyBorder="1"/>
    <xf numFmtId="0" fontId="0" fillId="4" borderId="0" xfId="0" applyFill="1"/>
    <xf numFmtId="164" fontId="0" fillId="4" borderId="0" xfId="1" applyFont="1" applyFill="1"/>
    <xf numFmtId="164" fontId="0" fillId="4" borderId="0" xfId="0" applyNumberFormat="1" applyFill="1"/>
    <xf numFmtId="0" fontId="6" fillId="0" borderId="0" xfId="0" applyFont="1"/>
    <xf numFmtId="0" fontId="0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</cellXfs>
  <cellStyles count="82">
    <cellStyle name="Currency" xfId="1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Input" xfId="2" builtinId="20"/>
    <cellStyle name="Normal" xfId="0" builtinId="0"/>
    <cellStyle name="Output" xfId="3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Spot Price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'Price and margin'!$C$21:$V$21</c:f>
              <c:numCache>
                <c:formatCode>_-"$"* #,##0.00_-;\-"$"* #,##0.00_-;_-"$"* "-"??_-;_-@_-</c:formatCode>
                <c:ptCount val="20"/>
                <c:pt idx="0">
                  <c:v>100</c:v>
                </c:pt>
                <c:pt idx="1">
                  <c:v>99.774343705888725</c:v>
                </c:pt>
                <c:pt idx="2">
                  <c:v>101.32671711695517</c:v>
                </c:pt>
                <c:pt idx="3">
                  <c:v>102.13227438863248</c:v>
                </c:pt>
                <c:pt idx="4">
                  <c:v>103.94002089301104</c:v>
                </c:pt>
                <c:pt idx="5">
                  <c:v>101.52329365289359</c:v>
                </c:pt>
                <c:pt idx="6">
                  <c:v>102.32617538756108</c:v>
                </c:pt>
                <c:pt idx="7">
                  <c:v>103.81289406085162</c:v>
                </c:pt>
                <c:pt idx="8">
                  <c:v>101.10485593396197</c:v>
                </c:pt>
                <c:pt idx="9">
                  <c:v>101.56452850797272</c:v>
                </c:pt>
                <c:pt idx="10">
                  <c:v>99.019688354845513</c:v>
                </c:pt>
                <c:pt idx="11">
                  <c:v>98.075146249979539</c:v>
                </c:pt>
                <c:pt idx="12">
                  <c:v>96.891211304652856</c:v>
                </c:pt>
                <c:pt idx="13">
                  <c:v>96.8364480016958</c:v>
                </c:pt>
                <c:pt idx="14">
                  <c:v>95.560018103294965</c:v>
                </c:pt>
                <c:pt idx="15">
                  <c:v>95.918130160019615</c:v>
                </c:pt>
                <c:pt idx="16">
                  <c:v>97.143754207023647</c:v>
                </c:pt>
                <c:pt idx="17">
                  <c:v>96.829858303865819</c:v>
                </c:pt>
                <c:pt idx="18">
                  <c:v>96.678056981497434</c:v>
                </c:pt>
                <c:pt idx="19">
                  <c:v>99.822111628648983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2-4459-B5BD-1AE7EB64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8262600"/>
        <c:axId val="-2118780968"/>
      </c:lineChart>
      <c:catAx>
        <c:axId val="-211826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Day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18780968"/>
        <c:crosses val="autoZero"/>
        <c:auto val="1"/>
        <c:lblAlgn val="ctr"/>
        <c:lblOffset val="100"/>
        <c:noMultiLvlLbl val="0"/>
      </c:catAx>
      <c:valAx>
        <c:axId val="-2118780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Spot Price</a:t>
                </a:r>
              </a:p>
            </c:rich>
          </c:tx>
          <c:overlay val="0"/>
        </c:title>
        <c:numFmt formatCode="_-&quot;$&quot;* #,##0.00_-;\-&quot;$&quot;* #,##0.00_-;_-&quot;$&quot;* &quot;-&quot;??_-;_-@_-" sourceLinked="1"/>
        <c:majorTickMark val="out"/>
        <c:minorTickMark val="none"/>
        <c:tickLblPos val="nextTo"/>
        <c:crossAx val="-2118262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798194</xdr:colOff>
      <xdr:row>0</xdr:row>
      <xdr:rowOff>262255</xdr:rowOff>
    </xdr:from>
    <xdr:to>
      <xdr:col>14</xdr:col>
      <xdr:colOff>266699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A7" workbookViewId="0">
      <selection activeCell="F21" sqref="F21"/>
    </sheetView>
  </sheetViews>
  <sheetFormatPr defaultColWidth="11.25" defaultRowHeight="15.75" x14ac:dyDescent="0.25"/>
  <cols>
    <col min="1" max="1" width="37.25" bestFit="1" customWidth="1"/>
    <col min="2" max="2" width="13.25" customWidth="1"/>
    <col min="3" max="3" width="11.5" bestFit="1" customWidth="1"/>
    <col min="4" max="4" width="12.25" bestFit="1" customWidth="1"/>
    <col min="5" max="5" width="13.5" customWidth="1"/>
    <col min="6" max="6" width="12.25" bestFit="1" customWidth="1"/>
    <col min="7" max="7" width="13.75" bestFit="1" customWidth="1"/>
    <col min="8" max="8" width="14.25" bestFit="1" customWidth="1"/>
    <col min="9" max="21" width="12.25" bestFit="1" customWidth="1"/>
    <col min="22" max="22" width="12.5" bestFit="1" customWidth="1"/>
  </cols>
  <sheetData>
    <row r="1" spans="1:7" ht="28.5" x14ac:dyDescent="0.45">
      <c r="A1" s="17" t="s">
        <v>39</v>
      </c>
    </row>
    <row r="2" spans="1:7" ht="15.75" customHeight="1" x14ac:dyDescent="0.45">
      <c r="A2" s="17"/>
    </row>
    <row r="4" spans="1:7" x14ac:dyDescent="0.25">
      <c r="A4" t="s">
        <v>0</v>
      </c>
      <c r="B4" s="1">
        <v>10000</v>
      </c>
      <c r="D4" t="s">
        <v>19</v>
      </c>
      <c r="G4" s="11">
        <f>volume*strike</f>
        <v>1000000</v>
      </c>
    </row>
    <row r="5" spans="1:7" x14ac:dyDescent="0.25">
      <c r="A5" t="s">
        <v>1</v>
      </c>
      <c r="B5" s="2">
        <v>100</v>
      </c>
      <c r="D5" t="s">
        <v>17</v>
      </c>
      <c r="G5" s="4">
        <f>3*B11</f>
        <v>6</v>
      </c>
    </row>
    <row r="6" spans="1:7" x14ac:dyDescent="0.25">
      <c r="D6" t="s">
        <v>10</v>
      </c>
      <c r="G6" s="4">
        <f>G5*volume</f>
        <v>60000</v>
      </c>
    </row>
    <row r="7" spans="1:7" x14ac:dyDescent="0.25">
      <c r="A7" t="s">
        <v>2</v>
      </c>
      <c r="B7" s="5">
        <v>100</v>
      </c>
      <c r="D7" t="s">
        <v>11</v>
      </c>
      <c r="G7" s="4">
        <f>G5*volume</f>
        <v>60000</v>
      </c>
    </row>
    <row r="8" spans="1:7" x14ac:dyDescent="0.25">
      <c r="A8" t="s">
        <v>3</v>
      </c>
      <c r="B8" s="6">
        <v>1.5</v>
      </c>
    </row>
    <row r="9" spans="1:7" x14ac:dyDescent="0.25">
      <c r="A9" t="s">
        <v>4</v>
      </c>
      <c r="B9" s="5">
        <v>0.01</v>
      </c>
      <c r="D9" t="s">
        <v>8</v>
      </c>
      <c r="G9" s="11">
        <f>buyer_maintenance_margin*(1+initial_margin_markup)</f>
        <v>81000</v>
      </c>
    </row>
    <row r="10" spans="1:7" x14ac:dyDescent="0.25">
      <c r="A10" s="16"/>
      <c r="B10" s="9"/>
      <c r="D10" t="s">
        <v>15</v>
      </c>
      <c r="G10" s="11">
        <f>seller_maintenance_margin*(1+initial_margin_markup)</f>
        <v>81000</v>
      </c>
    </row>
    <row r="11" spans="1:7" x14ac:dyDescent="0.25">
      <c r="A11" t="s">
        <v>16</v>
      </c>
      <c r="B11" s="6">
        <v>2</v>
      </c>
    </row>
    <row r="12" spans="1:7" x14ac:dyDescent="0.25">
      <c r="A12" t="s">
        <v>9</v>
      </c>
      <c r="B12" s="10">
        <v>0.99</v>
      </c>
    </row>
    <row r="13" spans="1:7" x14ac:dyDescent="0.25">
      <c r="A13" t="s">
        <v>14</v>
      </c>
      <c r="B13" s="10">
        <v>0.35</v>
      </c>
    </row>
    <row r="18" spans="1:22" x14ac:dyDescent="0.25">
      <c r="C18" t="s">
        <v>25</v>
      </c>
      <c r="V18" t="s">
        <v>38</v>
      </c>
    </row>
    <row r="19" spans="1:22" x14ac:dyDescent="0.25">
      <c r="B19" t="s">
        <v>24</v>
      </c>
      <c r="C19">
        <v>1</v>
      </c>
      <c r="D19">
        <v>2</v>
      </c>
      <c r="E19">
        <v>3</v>
      </c>
      <c r="F19">
        <v>4</v>
      </c>
      <c r="G19">
        <v>5</v>
      </c>
      <c r="H19">
        <v>6</v>
      </c>
      <c r="I19">
        <v>7</v>
      </c>
      <c r="J19">
        <v>8</v>
      </c>
      <c r="K19">
        <v>9</v>
      </c>
      <c r="L19">
        <v>10</v>
      </c>
      <c r="M19">
        <v>11</v>
      </c>
      <c r="N19">
        <v>12</v>
      </c>
      <c r="O19">
        <v>13</v>
      </c>
      <c r="P19">
        <v>14</v>
      </c>
      <c r="Q19">
        <v>15</v>
      </c>
      <c r="R19">
        <v>16</v>
      </c>
      <c r="S19">
        <v>17</v>
      </c>
      <c r="T19">
        <v>18</v>
      </c>
      <c r="U19">
        <v>19</v>
      </c>
      <c r="V19">
        <v>20</v>
      </c>
    </row>
    <row r="20" spans="1:22" hidden="1" x14ac:dyDescent="0.25">
      <c r="A20" t="s">
        <v>6</v>
      </c>
      <c r="D20">
        <f ca="1">RAND()</f>
        <v>0.43758136533077752</v>
      </c>
      <c r="E20">
        <f t="shared" ref="E20:V20" ca="1" si="0">RAND()</f>
        <v>0.84808362884660737</v>
      </c>
      <c r="F20">
        <f t="shared" ca="1" si="0"/>
        <v>0.70207281399160237</v>
      </c>
      <c r="G20">
        <f t="shared" ca="1" si="0"/>
        <v>0.88463833514728185</v>
      </c>
      <c r="H20">
        <f t="shared" ca="1" si="0"/>
        <v>5.2850895770604644E-2</v>
      </c>
      <c r="I20">
        <f t="shared" ca="1" si="0"/>
        <v>0.70145429537314707</v>
      </c>
      <c r="J20">
        <f t="shared" ca="1" si="0"/>
        <v>0.83756000246697526</v>
      </c>
      <c r="K20">
        <f t="shared" ca="1" si="0"/>
        <v>3.4991134570244165E-2</v>
      </c>
      <c r="L20">
        <f t="shared" ca="1" si="0"/>
        <v>0.61782816860853029</v>
      </c>
      <c r="M20">
        <f t="shared" ca="1" si="0"/>
        <v>4.4262819495215155E-2</v>
      </c>
      <c r="N20">
        <f t="shared" ca="1" si="0"/>
        <v>0.26227044580763448</v>
      </c>
      <c r="O20">
        <f t="shared" ca="1" si="0"/>
        <v>0.21302862194715266</v>
      </c>
      <c r="P20">
        <f t="shared" ca="1" si="0"/>
        <v>0.48278080344855367</v>
      </c>
      <c r="Q20">
        <f t="shared" ca="1" si="0"/>
        <v>0.19555118254580151</v>
      </c>
      <c r="R20">
        <f t="shared" ca="1" si="0"/>
        <v>0.59176000426836362</v>
      </c>
      <c r="S20">
        <f t="shared" ca="1" si="0"/>
        <v>0.79114944644930718</v>
      </c>
      <c r="T20">
        <f t="shared" ca="1" si="0"/>
        <v>0.41452092136125884</v>
      </c>
      <c r="U20">
        <f t="shared" ca="1" si="0"/>
        <v>0.4570503798162785</v>
      </c>
      <c r="V20">
        <f t="shared" ca="1" si="0"/>
        <v>0.98166277462726781</v>
      </c>
    </row>
    <row r="21" spans="1:22" x14ac:dyDescent="0.25">
      <c r="A21" t="s">
        <v>22</v>
      </c>
      <c r="B21" s="3">
        <f>start_spot_price</f>
        <v>100</v>
      </c>
      <c r="C21" s="3">
        <f>start_spot_price</f>
        <v>100</v>
      </c>
      <c r="D21" s="7">
        <f t="shared" ref="D21:V21" ca="1" si="1">C21+_xlfn.NORM.INV(D20,trend,volatility)</f>
        <v>99.774343705888725</v>
      </c>
      <c r="E21" s="7">
        <f ca="1">D21+_xlfn.NORM.INV(E20,trend,volatility)</f>
        <v>101.32671711695517</v>
      </c>
      <c r="F21" s="7">
        <f t="shared" ca="1" si="1"/>
        <v>102.13227438863248</v>
      </c>
      <c r="G21" s="7">
        <f t="shared" ca="1" si="1"/>
        <v>103.94002089301104</v>
      </c>
      <c r="H21" s="7">
        <f t="shared" ca="1" si="1"/>
        <v>101.52329365289359</v>
      </c>
      <c r="I21" s="7">
        <f t="shared" ca="1" si="1"/>
        <v>102.32617538756108</v>
      </c>
      <c r="J21" s="7">
        <f t="shared" ca="1" si="1"/>
        <v>103.81289406085162</v>
      </c>
      <c r="K21" s="7">
        <f t="shared" ca="1" si="1"/>
        <v>101.10485593396197</v>
      </c>
      <c r="L21" s="7">
        <f t="shared" ca="1" si="1"/>
        <v>101.56452850797272</v>
      </c>
      <c r="M21" s="7">
        <f t="shared" ca="1" si="1"/>
        <v>99.019688354845513</v>
      </c>
      <c r="N21" s="7">
        <f t="shared" ca="1" si="1"/>
        <v>98.075146249979539</v>
      </c>
      <c r="O21" s="7">
        <f t="shared" ca="1" si="1"/>
        <v>96.891211304652856</v>
      </c>
      <c r="P21" s="7">
        <f t="shared" ca="1" si="1"/>
        <v>96.8364480016958</v>
      </c>
      <c r="Q21" s="7">
        <f t="shared" ca="1" si="1"/>
        <v>95.560018103294965</v>
      </c>
      <c r="R21" s="7">
        <f t="shared" ca="1" si="1"/>
        <v>95.918130160019615</v>
      </c>
      <c r="S21" s="7">
        <f t="shared" ca="1" si="1"/>
        <v>97.143754207023647</v>
      </c>
      <c r="T21" s="7">
        <f t="shared" ca="1" si="1"/>
        <v>96.829858303865819</v>
      </c>
      <c r="U21" s="7">
        <f t="shared" ca="1" si="1"/>
        <v>96.678056981497434</v>
      </c>
      <c r="V21" s="7">
        <f t="shared" ca="1" si="1"/>
        <v>99.822111628648983</v>
      </c>
    </row>
    <row r="22" spans="1:22" x14ac:dyDescent="0.25">
      <c r="A22" t="s">
        <v>23</v>
      </c>
      <c r="B22" t="s">
        <v>5</v>
      </c>
      <c r="C22" t="s">
        <v>5</v>
      </c>
      <c r="D22" s="7">
        <f ca="1">D21-C21</f>
        <v>-0.22565629411127475</v>
      </c>
      <c r="E22" s="7">
        <f t="shared" ref="E22:V22" ca="1" si="2">E21-D21</f>
        <v>1.5523734110664407</v>
      </c>
      <c r="F22" s="7">
        <f t="shared" ca="1" si="2"/>
        <v>0.80555727167731561</v>
      </c>
      <c r="G22" s="7">
        <f t="shared" ca="1" si="2"/>
        <v>1.8077465043785566</v>
      </c>
      <c r="H22" s="7">
        <f t="shared" ca="1" si="2"/>
        <v>-2.4167272401174529</v>
      </c>
      <c r="I22" s="7">
        <f t="shared" ca="1" si="2"/>
        <v>0.80288173466749413</v>
      </c>
      <c r="J22" s="7">
        <f t="shared" ca="1" si="2"/>
        <v>1.4867186732905395</v>
      </c>
      <c r="K22" s="7">
        <f t="shared" ca="1" si="2"/>
        <v>-2.7080381268896474</v>
      </c>
      <c r="L22" s="7">
        <f t="shared" ca="1" si="2"/>
        <v>0.45967257401075301</v>
      </c>
      <c r="M22" s="7">
        <f t="shared" ca="1" si="2"/>
        <v>-2.5448401531272111</v>
      </c>
      <c r="N22" s="7">
        <f t="shared" ca="1" si="2"/>
        <v>-0.9445421048659739</v>
      </c>
      <c r="O22" s="7">
        <f t="shared" ca="1" si="2"/>
        <v>-1.1839349453266834</v>
      </c>
      <c r="P22" s="7">
        <f t="shared" ca="1" si="2"/>
        <v>-5.4763302957056226E-2</v>
      </c>
      <c r="Q22" s="7">
        <f t="shared" ca="1" si="2"/>
        <v>-1.2764298984008349</v>
      </c>
      <c r="R22" s="7">
        <f t="shared" ca="1" si="2"/>
        <v>0.35811205672465007</v>
      </c>
      <c r="S22" s="7">
        <f t="shared" ca="1" si="2"/>
        <v>1.2256240470040325</v>
      </c>
      <c r="T22" s="7">
        <f t="shared" ca="1" si="2"/>
        <v>-0.31389590315782812</v>
      </c>
      <c r="U22" s="7">
        <f t="shared" ca="1" si="2"/>
        <v>-0.15180132236838517</v>
      </c>
      <c r="V22" s="7">
        <f t="shared" ca="1" si="2"/>
        <v>3.1440546471515489</v>
      </c>
    </row>
    <row r="23" spans="1:22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t="s">
        <v>7</v>
      </c>
      <c r="C24" s="3">
        <f t="shared" ref="C24:V24" si="3">(C21-strike)*volume</f>
        <v>0</v>
      </c>
      <c r="D24" s="3">
        <f t="shared" ca="1" si="3"/>
        <v>-2256.5629411127475</v>
      </c>
      <c r="E24" s="3">
        <f t="shared" ca="1" si="3"/>
        <v>13267.171169551659</v>
      </c>
      <c r="F24" s="3">
        <f t="shared" ca="1" si="3"/>
        <v>21322.743886324817</v>
      </c>
      <c r="G24" s="3">
        <f t="shared" ca="1" si="3"/>
        <v>39400.208930110384</v>
      </c>
      <c r="H24" s="3">
        <f t="shared" ca="1" si="3"/>
        <v>15232.936528935852</v>
      </c>
      <c r="I24" s="3">
        <f t="shared" ca="1" si="3"/>
        <v>23261.753875610793</v>
      </c>
      <c r="J24" s="3">
        <f t="shared" ca="1" si="3"/>
        <v>38128.94060851619</v>
      </c>
      <c r="K24" s="3">
        <f t="shared" ca="1" si="3"/>
        <v>11048.559339619715</v>
      </c>
      <c r="L24" s="3">
        <f t="shared" ca="1" si="3"/>
        <v>15645.285079727244</v>
      </c>
      <c r="M24" s="3">
        <f t="shared" ca="1" si="3"/>
        <v>-9803.1164515448672</v>
      </c>
      <c r="N24" s="3">
        <f t="shared" ca="1" si="3"/>
        <v>-19248.537500204606</v>
      </c>
      <c r="O24" s="3">
        <f t="shared" ca="1" si="3"/>
        <v>-31087.886953471439</v>
      </c>
      <c r="P24" s="3">
        <f t="shared" ca="1" si="3"/>
        <v>-31635.519983042002</v>
      </c>
      <c r="Q24" s="3">
        <f t="shared" ca="1" si="3"/>
        <v>-44399.818967050349</v>
      </c>
      <c r="R24" s="3">
        <f t="shared" ca="1" si="3"/>
        <v>-40818.698399803849</v>
      </c>
      <c r="S24" s="3">
        <f t="shared" ca="1" si="3"/>
        <v>-28562.457929763525</v>
      </c>
      <c r="T24" s="3">
        <f t="shared" ca="1" si="3"/>
        <v>-31701.416961341805</v>
      </c>
      <c r="U24" s="3">
        <f t="shared" ca="1" si="3"/>
        <v>-33219.43018502566</v>
      </c>
      <c r="V24" s="3">
        <f t="shared" ca="1" si="3"/>
        <v>-1778.8837135101687</v>
      </c>
    </row>
    <row r="25" spans="1:22" x14ac:dyDescent="0.25">
      <c r="A25" t="s">
        <v>18</v>
      </c>
      <c r="C25" s="3">
        <f t="shared" ref="C25:V25" si="4">(strike-C21)*volume</f>
        <v>0</v>
      </c>
      <c r="D25" s="3">
        <f t="shared" ca="1" si="4"/>
        <v>2256.5629411127475</v>
      </c>
      <c r="E25" s="3">
        <f t="shared" ca="1" si="4"/>
        <v>-13267.171169551659</v>
      </c>
      <c r="F25" s="3">
        <f t="shared" ca="1" si="4"/>
        <v>-21322.743886324817</v>
      </c>
      <c r="G25" s="3">
        <f t="shared" ca="1" si="4"/>
        <v>-39400.208930110384</v>
      </c>
      <c r="H25" s="3">
        <f t="shared" ca="1" si="4"/>
        <v>-15232.936528935852</v>
      </c>
      <c r="I25" s="3">
        <f t="shared" ca="1" si="4"/>
        <v>-23261.753875610793</v>
      </c>
      <c r="J25" s="3">
        <f t="shared" ca="1" si="4"/>
        <v>-38128.94060851619</v>
      </c>
      <c r="K25" s="3">
        <f t="shared" ca="1" si="4"/>
        <v>-11048.559339619715</v>
      </c>
      <c r="L25" s="3">
        <f t="shared" ca="1" si="4"/>
        <v>-15645.285079727244</v>
      </c>
      <c r="M25" s="3">
        <f t="shared" ca="1" si="4"/>
        <v>9803.1164515448672</v>
      </c>
      <c r="N25" s="3">
        <f t="shared" ca="1" si="4"/>
        <v>19248.537500204606</v>
      </c>
      <c r="O25" s="3">
        <f t="shared" ca="1" si="4"/>
        <v>31087.886953471439</v>
      </c>
      <c r="P25" s="3">
        <f t="shared" ca="1" si="4"/>
        <v>31635.519983042002</v>
      </c>
      <c r="Q25" s="3">
        <f t="shared" ca="1" si="4"/>
        <v>44399.818967050349</v>
      </c>
      <c r="R25" s="3">
        <f t="shared" ca="1" si="4"/>
        <v>40818.698399803849</v>
      </c>
      <c r="S25" s="3">
        <f t="shared" ca="1" si="4"/>
        <v>28562.457929763525</v>
      </c>
      <c r="T25" s="3">
        <f t="shared" ca="1" si="4"/>
        <v>31701.416961341805</v>
      </c>
      <c r="U25" s="3">
        <f t="shared" ca="1" si="4"/>
        <v>33219.43018502566</v>
      </c>
      <c r="V25" s="3">
        <f t="shared" ca="1" si="4"/>
        <v>1778.8837135101687</v>
      </c>
    </row>
    <row r="27" spans="1:22" x14ac:dyDescent="0.25">
      <c r="A27" t="s">
        <v>20</v>
      </c>
      <c r="C27" s="7" t="s">
        <v>5</v>
      </c>
      <c r="D27" s="7">
        <f ca="1">D24-C24</f>
        <v>-2256.5629411127475</v>
      </c>
      <c r="E27" s="7">
        <f t="shared" ref="E27:V27" ca="1" si="5">E24-D24</f>
        <v>15523.734110664405</v>
      </c>
      <c r="F27" s="7">
        <f t="shared" ca="1" si="5"/>
        <v>8055.5727167731584</v>
      </c>
      <c r="G27" s="7">
        <f t="shared" ca="1" si="5"/>
        <v>18077.465043785567</v>
      </c>
      <c r="H27" s="7">
        <f t="shared" ca="1" si="5"/>
        <v>-24167.27240117453</v>
      </c>
      <c r="I27" s="7">
        <f t="shared" ca="1" si="5"/>
        <v>8028.8173466749413</v>
      </c>
      <c r="J27" s="7">
        <f t="shared" ca="1" si="5"/>
        <v>14867.186732905397</v>
      </c>
      <c r="K27" s="7">
        <f t="shared" ca="1" si="5"/>
        <v>-27080.381268896475</v>
      </c>
      <c r="L27" s="7">
        <f t="shared" ca="1" si="5"/>
        <v>4596.7257401075294</v>
      </c>
      <c r="M27" s="7">
        <f t="shared" ca="1" si="5"/>
        <v>-25448.401531272109</v>
      </c>
      <c r="N27" s="7">
        <f t="shared" ca="1" si="5"/>
        <v>-9445.4210486597385</v>
      </c>
      <c r="O27" s="7">
        <f t="shared" ca="1" si="5"/>
        <v>-11839.349453266834</v>
      </c>
      <c r="P27" s="7">
        <f t="shared" ca="1" si="5"/>
        <v>-547.63302957056294</v>
      </c>
      <c r="Q27" s="7">
        <f t="shared" ca="1" si="5"/>
        <v>-12764.298984008346</v>
      </c>
      <c r="R27" s="7">
        <f t="shared" ca="1" si="5"/>
        <v>3581.1205672465003</v>
      </c>
      <c r="S27" s="7">
        <f t="shared" ca="1" si="5"/>
        <v>12256.240470040324</v>
      </c>
      <c r="T27" s="7">
        <f t="shared" ca="1" si="5"/>
        <v>-3138.9590315782807</v>
      </c>
      <c r="U27" s="7">
        <f t="shared" ca="1" si="5"/>
        <v>-1518.0132236838544</v>
      </c>
      <c r="V27" s="7">
        <f t="shared" ca="1" si="5"/>
        <v>31440.546471515492</v>
      </c>
    </row>
    <row r="28" spans="1:22" x14ac:dyDescent="0.25">
      <c r="A28" t="s">
        <v>21</v>
      </c>
      <c r="C28" s="7" t="s">
        <v>5</v>
      </c>
      <c r="D28" s="7">
        <f ca="1">D25-C25</f>
        <v>2256.5629411127475</v>
      </c>
      <c r="E28" s="7">
        <f t="shared" ref="E28:V28" ca="1" si="6">E25-D25</f>
        <v>-15523.734110664405</v>
      </c>
      <c r="F28" s="7">
        <f t="shared" ca="1" si="6"/>
        <v>-8055.5727167731584</v>
      </c>
      <c r="G28" s="7">
        <f t="shared" ca="1" si="6"/>
        <v>-18077.465043785567</v>
      </c>
      <c r="H28" s="7">
        <f t="shared" ca="1" si="6"/>
        <v>24167.27240117453</v>
      </c>
      <c r="I28" s="7">
        <f t="shared" ca="1" si="6"/>
        <v>-8028.8173466749413</v>
      </c>
      <c r="J28" s="7">
        <f t="shared" ca="1" si="6"/>
        <v>-14867.186732905397</v>
      </c>
      <c r="K28" s="7">
        <f t="shared" ca="1" si="6"/>
        <v>27080.381268896475</v>
      </c>
      <c r="L28" s="7">
        <f t="shared" ca="1" si="6"/>
        <v>-4596.7257401075294</v>
      </c>
      <c r="M28" s="7">
        <f t="shared" ca="1" si="6"/>
        <v>25448.401531272109</v>
      </c>
      <c r="N28" s="7">
        <f t="shared" ca="1" si="6"/>
        <v>9445.4210486597385</v>
      </c>
      <c r="O28" s="7">
        <f t="shared" ca="1" si="6"/>
        <v>11839.349453266834</v>
      </c>
      <c r="P28" s="7">
        <f t="shared" ca="1" si="6"/>
        <v>547.63302957056294</v>
      </c>
      <c r="Q28" s="7">
        <f t="shared" ca="1" si="6"/>
        <v>12764.298984008346</v>
      </c>
      <c r="R28" s="7">
        <f t="shared" ca="1" si="6"/>
        <v>-3581.1205672465003</v>
      </c>
      <c r="S28" s="7">
        <f t="shared" ca="1" si="6"/>
        <v>-12256.240470040324</v>
      </c>
      <c r="T28" s="7">
        <f t="shared" ca="1" si="6"/>
        <v>3138.9590315782807</v>
      </c>
      <c r="U28" s="7">
        <f t="shared" ca="1" si="6"/>
        <v>1518.0132236838544</v>
      </c>
      <c r="V28" s="7">
        <f t="shared" ca="1" si="6"/>
        <v>-31440.546471515492</v>
      </c>
    </row>
    <row r="29" spans="1:22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t="s">
        <v>30</v>
      </c>
      <c r="C30" s="7">
        <f>B39</f>
        <v>81000</v>
      </c>
      <c r="D30" s="7">
        <f>C33+C36</f>
        <v>81000</v>
      </c>
      <c r="E30" s="7">
        <f t="shared" ref="E30:V30" ca="1" si="7">D33+D36</f>
        <v>78743.437058887255</v>
      </c>
      <c r="F30" s="7">
        <f t="shared" ca="1" si="7"/>
        <v>94267.171169551657</v>
      </c>
      <c r="G30" s="7">
        <f t="shared" ca="1" si="7"/>
        <v>102322.74388632481</v>
      </c>
      <c r="H30" s="7">
        <f t="shared" ca="1" si="7"/>
        <v>120400.20893011038</v>
      </c>
      <c r="I30" s="7">
        <f t="shared" ca="1" si="7"/>
        <v>96232.936528935854</v>
      </c>
      <c r="J30" s="7">
        <f t="shared" ca="1" si="7"/>
        <v>104261.7538756108</v>
      </c>
      <c r="K30" s="7">
        <f t="shared" ca="1" si="7"/>
        <v>119128.94060851619</v>
      </c>
      <c r="L30" s="7">
        <f t="shared" ca="1" si="7"/>
        <v>92048.559339619707</v>
      </c>
      <c r="M30" s="7">
        <f t="shared" ca="1" si="7"/>
        <v>96645.28507972724</v>
      </c>
      <c r="N30" s="7">
        <f t="shared" ca="1" si="7"/>
        <v>71196.883548455138</v>
      </c>
      <c r="O30" s="7">
        <f t="shared" ca="1" si="7"/>
        <v>61751.462499795402</v>
      </c>
      <c r="P30" s="7">
        <f t="shared" ca="1" si="7"/>
        <v>81000</v>
      </c>
      <c r="Q30" s="7">
        <f t="shared" ca="1" si="7"/>
        <v>80452.36697042943</v>
      </c>
      <c r="R30" s="7">
        <f t="shared" ca="1" si="7"/>
        <v>67688.067986421083</v>
      </c>
      <c r="S30" s="7">
        <f t="shared" ca="1" si="7"/>
        <v>71269.188553667584</v>
      </c>
      <c r="T30" s="7">
        <f t="shared" ca="1" si="7"/>
        <v>83525.429023707911</v>
      </c>
      <c r="U30" s="7">
        <f t="shared" ca="1" si="7"/>
        <v>80386.469992129627</v>
      </c>
      <c r="V30" s="7">
        <f t="shared" ca="1" si="7"/>
        <v>78868.456768445772</v>
      </c>
    </row>
    <row r="31" spans="1:22" x14ac:dyDescent="0.25">
      <c r="A31" t="s">
        <v>31</v>
      </c>
      <c r="C31" s="7">
        <f>B40</f>
        <v>81000</v>
      </c>
      <c r="D31" s="7">
        <f>C34+C37</f>
        <v>81000</v>
      </c>
      <c r="E31" s="7">
        <f t="shared" ref="E31:V31" ca="1" si="8">D34+D37</f>
        <v>83256.562941112745</v>
      </c>
      <c r="F31" s="7">
        <f t="shared" ca="1" si="8"/>
        <v>67732.828830448343</v>
      </c>
      <c r="G31" s="7">
        <f t="shared" ca="1" si="8"/>
        <v>81000</v>
      </c>
      <c r="H31" s="7">
        <f t="shared" ca="1" si="8"/>
        <v>62922.534956214433</v>
      </c>
      <c r="I31" s="7">
        <f t="shared" ca="1" si="8"/>
        <v>87089.807357388956</v>
      </c>
      <c r="J31" s="7">
        <f t="shared" ca="1" si="8"/>
        <v>79060.990010714013</v>
      </c>
      <c r="K31" s="7">
        <f t="shared" ca="1" si="8"/>
        <v>64193.80327780862</v>
      </c>
      <c r="L31" s="7">
        <f t="shared" ca="1" si="8"/>
        <v>91274.184546705103</v>
      </c>
      <c r="M31" s="7">
        <f t="shared" ca="1" si="8"/>
        <v>86677.458806597569</v>
      </c>
      <c r="N31" s="7">
        <f t="shared" ca="1" si="8"/>
        <v>112125.86033786967</v>
      </c>
      <c r="O31" s="7">
        <f t="shared" ca="1" si="8"/>
        <v>121571.28138652942</v>
      </c>
      <c r="P31" s="7">
        <f t="shared" ca="1" si="8"/>
        <v>133410.63083979624</v>
      </c>
      <c r="Q31" s="7">
        <f t="shared" ca="1" si="8"/>
        <v>133958.26386936681</v>
      </c>
      <c r="R31" s="7">
        <f t="shared" ca="1" si="8"/>
        <v>146722.56285337516</v>
      </c>
      <c r="S31" s="7">
        <f t="shared" ca="1" si="8"/>
        <v>143141.44228612864</v>
      </c>
      <c r="T31" s="7">
        <f t="shared" ca="1" si="8"/>
        <v>130885.20181608832</v>
      </c>
      <c r="U31" s="7">
        <f t="shared" ca="1" si="8"/>
        <v>134024.16084766659</v>
      </c>
      <c r="V31" s="7">
        <f t="shared" ca="1" si="8"/>
        <v>135542.17407135043</v>
      </c>
    </row>
    <row r="32" spans="1:22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25">
      <c r="A33" t="s">
        <v>26</v>
      </c>
      <c r="C33" s="3">
        <f>buyer_initial_margin</f>
        <v>81000</v>
      </c>
      <c r="D33" s="7">
        <f ca="1">D30+D27</f>
        <v>78743.437058887255</v>
      </c>
      <c r="E33" s="7">
        <f t="shared" ref="E33:V33" ca="1" si="9">E30+E27</f>
        <v>94267.171169551657</v>
      </c>
      <c r="F33" s="7">
        <f t="shared" ca="1" si="9"/>
        <v>102322.74388632481</v>
      </c>
      <c r="G33" s="7">
        <f t="shared" ca="1" si="9"/>
        <v>120400.20893011038</v>
      </c>
      <c r="H33" s="7">
        <f t="shared" ca="1" si="9"/>
        <v>96232.936528935854</v>
      </c>
      <c r="I33" s="7">
        <f t="shared" ca="1" si="9"/>
        <v>104261.7538756108</v>
      </c>
      <c r="J33" s="7">
        <f t="shared" ca="1" si="9"/>
        <v>119128.94060851619</v>
      </c>
      <c r="K33" s="7">
        <f t="shared" ca="1" si="9"/>
        <v>92048.559339619707</v>
      </c>
      <c r="L33" s="7">
        <f t="shared" ca="1" si="9"/>
        <v>96645.28507972724</v>
      </c>
      <c r="M33" s="7">
        <f t="shared" ca="1" si="9"/>
        <v>71196.883548455138</v>
      </c>
      <c r="N33" s="7">
        <f t="shared" ca="1" si="9"/>
        <v>61751.462499795402</v>
      </c>
      <c r="O33" s="7">
        <f t="shared" ca="1" si="9"/>
        <v>49912.113046528568</v>
      </c>
      <c r="P33" s="7">
        <f t="shared" ca="1" si="9"/>
        <v>80452.36697042943</v>
      </c>
      <c r="Q33" s="7">
        <f t="shared" ca="1" si="9"/>
        <v>67688.067986421083</v>
      </c>
      <c r="R33" s="7">
        <f t="shared" ca="1" si="9"/>
        <v>71269.188553667584</v>
      </c>
      <c r="S33" s="7">
        <f t="shared" ca="1" si="9"/>
        <v>83525.429023707911</v>
      </c>
      <c r="T33" s="7">
        <f t="shared" ca="1" si="9"/>
        <v>80386.469992129627</v>
      </c>
      <c r="U33" s="7">
        <f t="shared" ca="1" si="9"/>
        <v>78868.456768445772</v>
      </c>
      <c r="V33" s="7">
        <f t="shared" ca="1" si="9"/>
        <v>110309.00323996127</v>
      </c>
    </row>
    <row r="34" spans="1:22" x14ac:dyDescent="0.25">
      <c r="A34" t="s">
        <v>27</v>
      </c>
      <c r="C34" s="3">
        <f>seller_initial_margin</f>
        <v>81000</v>
      </c>
      <c r="D34" s="7">
        <f ca="1">D31+D28</f>
        <v>83256.562941112745</v>
      </c>
      <c r="E34" s="7">
        <f t="shared" ref="E34:V34" ca="1" si="10">E31+E28</f>
        <v>67732.828830448343</v>
      </c>
      <c r="F34" s="7">
        <f t="shared" ca="1" si="10"/>
        <v>59677.256113675183</v>
      </c>
      <c r="G34" s="7">
        <f t="shared" ca="1" si="10"/>
        <v>62922.534956214433</v>
      </c>
      <c r="H34" s="7">
        <f t="shared" ca="1" si="10"/>
        <v>87089.807357388956</v>
      </c>
      <c r="I34" s="7">
        <f t="shared" ca="1" si="10"/>
        <v>79060.990010714013</v>
      </c>
      <c r="J34" s="7">
        <f t="shared" ca="1" si="10"/>
        <v>64193.80327780862</v>
      </c>
      <c r="K34" s="7">
        <f t="shared" ca="1" si="10"/>
        <v>91274.184546705103</v>
      </c>
      <c r="L34" s="7">
        <f t="shared" ca="1" si="10"/>
        <v>86677.458806597569</v>
      </c>
      <c r="M34" s="7">
        <f t="shared" ca="1" si="10"/>
        <v>112125.86033786967</v>
      </c>
      <c r="N34" s="7">
        <f t="shared" ca="1" si="10"/>
        <v>121571.28138652942</v>
      </c>
      <c r="O34" s="7">
        <f t="shared" ca="1" si="10"/>
        <v>133410.63083979624</v>
      </c>
      <c r="P34" s="7">
        <f t="shared" ca="1" si="10"/>
        <v>133958.26386936681</v>
      </c>
      <c r="Q34" s="7">
        <f t="shared" ca="1" si="10"/>
        <v>146722.56285337516</v>
      </c>
      <c r="R34" s="7">
        <f t="shared" ca="1" si="10"/>
        <v>143141.44228612864</v>
      </c>
      <c r="S34" s="7">
        <f t="shared" ca="1" si="10"/>
        <v>130885.20181608832</v>
      </c>
      <c r="T34" s="7">
        <f t="shared" ca="1" si="10"/>
        <v>134024.16084766659</v>
      </c>
      <c r="U34" s="7">
        <f t="shared" ca="1" si="10"/>
        <v>135542.17407135043</v>
      </c>
      <c r="V34" s="7">
        <f t="shared" ca="1" si="10"/>
        <v>104101.62759983493</v>
      </c>
    </row>
    <row r="35" spans="1:22" x14ac:dyDescent="0.25">
      <c r="C35" s="3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x14ac:dyDescent="0.25">
      <c r="A36" s="8" t="s">
        <v>12</v>
      </c>
      <c r="B36" s="8"/>
      <c r="C36" s="3">
        <f>IF(C33&lt;buyer_maintenance_margin,buyer_initial_margin-D33,0)</f>
        <v>0</v>
      </c>
      <c r="D36" s="3">
        <f t="shared" ref="D36:U36" ca="1" si="11">IF(D33&lt;buyer_maintenance_margin,buyer_initial_margin-D33,0)</f>
        <v>0</v>
      </c>
      <c r="E36" s="3">
        <f t="shared" ca="1" si="11"/>
        <v>0</v>
      </c>
      <c r="F36" s="3">
        <f t="shared" ca="1" si="11"/>
        <v>0</v>
      </c>
      <c r="G36" s="3">
        <f t="shared" ca="1" si="11"/>
        <v>0</v>
      </c>
      <c r="H36" s="3">
        <f t="shared" ca="1" si="11"/>
        <v>0</v>
      </c>
      <c r="I36" s="3">
        <f t="shared" ca="1" si="11"/>
        <v>0</v>
      </c>
      <c r="J36" s="3">
        <f t="shared" ca="1" si="11"/>
        <v>0</v>
      </c>
      <c r="K36" s="3">
        <f t="shared" ca="1" si="11"/>
        <v>0</v>
      </c>
      <c r="L36" s="3">
        <f t="shared" ca="1" si="11"/>
        <v>0</v>
      </c>
      <c r="M36" s="3">
        <f t="shared" ca="1" si="11"/>
        <v>0</v>
      </c>
      <c r="N36" s="3">
        <f t="shared" ca="1" si="11"/>
        <v>0</v>
      </c>
      <c r="O36" s="3">
        <f t="shared" ca="1" si="11"/>
        <v>31087.886953471432</v>
      </c>
      <c r="P36" s="3">
        <f t="shared" ca="1" si="11"/>
        <v>0</v>
      </c>
      <c r="Q36" s="3">
        <f t="shared" ca="1" si="11"/>
        <v>0</v>
      </c>
      <c r="R36" s="3">
        <f t="shared" ca="1" si="11"/>
        <v>0</v>
      </c>
      <c r="S36" s="3">
        <f t="shared" ca="1" si="11"/>
        <v>0</v>
      </c>
      <c r="T36" s="3">
        <f t="shared" ca="1" si="11"/>
        <v>0</v>
      </c>
      <c r="U36" s="3">
        <f t="shared" ca="1" si="11"/>
        <v>0</v>
      </c>
      <c r="V36" s="3"/>
    </row>
    <row r="37" spans="1:22" x14ac:dyDescent="0.25">
      <c r="A37" t="s">
        <v>13</v>
      </c>
      <c r="C37" s="3">
        <f>IF(C34&lt;seller_maintenance_margin,seller_initial_margin-D34,0)</f>
        <v>0</v>
      </c>
      <c r="D37" s="3">
        <f t="shared" ref="D37:U37" ca="1" si="12">IF(D34&lt;seller_maintenance_margin,seller_initial_margin-D34,0)</f>
        <v>0</v>
      </c>
      <c r="E37" s="3">
        <f t="shared" ca="1" si="12"/>
        <v>0</v>
      </c>
      <c r="F37" s="3">
        <f t="shared" ca="1" si="12"/>
        <v>21322.743886324817</v>
      </c>
      <c r="G37" s="3">
        <f t="shared" ca="1" si="12"/>
        <v>0</v>
      </c>
      <c r="H37" s="3">
        <f t="shared" ca="1" si="12"/>
        <v>0</v>
      </c>
      <c r="I37" s="3">
        <f t="shared" ca="1" si="12"/>
        <v>0</v>
      </c>
      <c r="J37" s="3">
        <f t="shared" ca="1" si="12"/>
        <v>0</v>
      </c>
      <c r="K37" s="3">
        <f t="shared" ca="1" si="12"/>
        <v>0</v>
      </c>
      <c r="L37" s="3">
        <f t="shared" ca="1" si="12"/>
        <v>0</v>
      </c>
      <c r="M37" s="3">
        <f t="shared" ca="1" si="12"/>
        <v>0</v>
      </c>
      <c r="N37" s="3">
        <f t="shared" ca="1" si="12"/>
        <v>0</v>
      </c>
      <c r="O37" s="3">
        <f t="shared" ca="1" si="12"/>
        <v>0</v>
      </c>
      <c r="P37" s="3">
        <f t="shared" ca="1" si="12"/>
        <v>0</v>
      </c>
      <c r="Q37" s="3">
        <f t="shared" ca="1" si="12"/>
        <v>0</v>
      </c>
      <c r="R37" s="3">
        <f t="shared" ca="1" si="12"/>
        <v>0</v>
      </c>
      <c r="S37" s="3">
        <f t="shared" ca="1" si="12"/>
        <v>0</v>
      </c>
      <c r="T37" s="3">
        <f t="shared" ca="1" si="12"/>
        <v>0</v>
      </c>
      <c r="U37" s="3">
        <f t="shared" ca="1" si="12"/>
        <v>0</v>
      </c>
      <c r="V37" s="3"/>
    </row>
    <row r="39" spans="1:22" x14ac:dyDescent="0.25">
      <c r="A39" t="s">
        <v>28</v>
      </c>
      <c r="B39" s="3">
        <f>buyer_initial_margin</f>
        <v>81000</v>
      </c>
      <c r="C39" s="7">
        <f>C36</f>
        <v>0</v>
      </c>
      <c r="D39" s="7">
        <f t="shared" ref="D39:U39" ca="1" si="13">D36</f>
        <v>0</v>
      </c>
      <c r="E39" s="7">
        <f t="shared" ca="1" si="13"/>
        <v>0</v>
      </c>
      <c r="F39" s="7">
        <f t="shared" ca="1" si="13"/>
        <v>0</v>
      </c>
      <c r="G39" s="7">
        <f t="shared" ca="1" si="13"/>
        <v>0</v>
      </c>
      <c r="H39" s="7">
        <f t="shared" ca="1" si="13"/>
        <v>0</v>
      </c>
      <c r="I39" s="7">
        <f t="shared" ca="1" si="13"/>
        <v>0</v>
      </c>
      <c r="J39" s="7">
        <f t="shared" ca="1" si="13"/>
        <v>0</v>
      </c>
      <c r="K39" s="7">
        <f t="shared" ca="1" si="13"/>
        <v>0</v>
      </c>
      <c r="L39" s="7">
        <f t="shared" ca="1" si="13"/>
        <v>0</v>
      </c>
      <c r="M39" s="7">
        <f t="shared" ca="1" si="13"/>
        <v>0</v>
      </c>
      <c r="N39" s="7">
        <f t="shared" ca="1" si="13"/>
        <v>0</v>
      </c>
      <c r="O39" s="7">
        <f t="shared" ca="1" si="13"/>
        <v>31087.886953471432</v>
      </c>
      <c r="P39" s="7">
        <f t="shared" ca="1" si="13"/>
        <v>0</v>
      </c>
      <c r="Q39" s="7">
        <f t="shared" ca="1" si="13"/>
        <v>0</v>
      </c>
      <c r="R39" s="7">
        <f t="shared" ca="1" si="13"/>
        <v>0</v>
      </c>
      <c r="S39" s="7">
        <f t="shared" ca="1" si="13"/>
        <v>0</v>
      </c>
      <c r="T39" s="7">
        <f t="shared" ca="1" si="13"/>
        <v>0</v>
      </c>
      <c r="U39" s="7">
        <f t="shared" ca="1" si="13"/>
        <v>0</v>
      </c>
      <c r="V39" s="7"/>
    </row>
    <row r="40" spans="1:22" x14ac:dyDescent="0.25">
      <c r="A40" t="s">
        <v>29</v>
      </c>
      <c r="B40" s="3">
        <f>seller_initial_margin</f>
        <v>81000</v>
      </c>
      <c r="C40" s="7">
        <f>C37</f>
        <v>0</v>
      </c>
      <c r="D40" s="7">
        <f t="shared" ref="D40:U40" ca="1" si="14">D37</f>
        <v>0</v>
      </c>
      <c r="E40" s="7">
        <f t="shared" ca="1" si="14"/>
        <v>0</v>
      </c>
      <c r="F40" s="7">
        <f t="shared" ca="1" si="14"/>
        <v>21322.743886324817</v>
      </c>
      <c r="G40" s="7">
        <f t="shared" ca="1" si="14"/>
        <v>0</v>
      </c>
      <c r="H40" s="7">
        <f t="shared" ca="1" si="14"/>
        <v>0</v>
      </c>
      <c r="I40" s="7">
        <f t="shared" ca="1" si="14"/>
        <v>0</v>
      </c>
      <c r="J40" s="7">
        <f t="shared" ca="1" si="14"/>
        <v>0</v>
      </c>
      <c r="K40" s="7">
        <f t="shared" ca="1" si="14"/>
        <v>0</v>
      </c>
      <c r="L40" s="7">
        <f t="shared" ca="1" si="14"/>
        <v>0</v>
      </c>
      <c r="M40" s="7">
        <f t="shared" ca="1" si="14"/>
        <v>0</v>
      </c>
      <c r="N40" s="7">
        <f t="shared" ca="1" si="14"/>
        <v>0</v>
      </c>
      <c r="O40" s="7">
        <f t="shared" ca="1" si="14"/>
        <v>0</v>
      </c>
      <c r="P40" s="7">
        <f t="shared" ca="1" si="14"/>
        <v>0</v>
      </c>
      <c r="Q40" s="7">
        <f t="shared" ca="1" si="14"/>
        <v>0</v>
      </c>
      <c r="R40" s="7">
        <f t="shared" ca="1" si="14"/>
        <v>0</v>
      </c>
      <c r="S40" s="7">
        <f t="shared" ca="1" si="14"/>
        <v>0</v>
      </c>
      <c r="T40" s="7">
        <f t="shared" ca="1" si="14"/>
        <v>0</v>
      </c>
      <c r="U40" s="7">
        <f t="shared" ca="1" si="14"/>
        <v>0</v>
      </c>
      <c r="V40" s="7"/>
    </row>
    <row r="41" spans="1:22" x14ac:dyDescent="0.25">
      <c r="A41" s="12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A42" t="s">
        <v>34</v>
      </c>
      <c r="B42" s="3">
        <f ca="1">SUM(C39:V39)</f>
        <v>31087.886953471432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x14ac:dyDescent="0.25">
      <c r="A43" t="s">
        <v>35</v>
      </c>
      <c r="B43" s="3">
        <f ca="1">SUM(C40:V40)</f>
        <v>21322.743886324817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5" spans="1:22" x14ac:dyDescent="0.25">
      <c r="A45" t="s">
        <v>32</v>
      </c>
      <c r="B45" s="7">
        <f ca="1">V33</f>
        <v>110309.00323996127</v>
      </c>
    </row>
    <row r="46" spans="1:22" x14ac:dyDescent="0.25">
      <c r="A46" t="s">
        <v>33</v>
      </c>
      <c r="B46" s="7">
        <f ca="1">V34</f>
        <v>104101.62759983493</v>
      </c>
    </row>
    <row r="48" spans="1:22" x14ac:dyDescent="0.25">
      <c r="A48" t="s">
        <v>36</v>
      </c>
      <c r="B48" s="7">
        <f ca="1">B45-B42-B39</f>
        <v>-1778.8837135101639</v>
      </c>
    </row>
    <row r="49" spans="1:2" x14ac:dyDescent="0.25">
      <c r="A49" t="s">
        <v>37</v>
      </c>
      <c r="B49" s="7">
        <f ca="1">B46-B43-B40</f>
        <v>1778.8837135101203</v>
      </c>
    </row>
  </sheetData>
  <conditionalFormatting sqref="D22:M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22:V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319F-A049-4A06-B5C0-9867EB7ED446}">
  <dimension ref="A1:G7"/>
  <sheetViews>
    <sheetView workbookViewId="0">
      <selection activeCell="E5" sqref="E5"/>
    </sheetView>
  </sheetViews>
  <sheetFormatPr defaultRowHeight="15.75" x14ac:dyDescent="0.25"/>
  <cols>
    <col min="1" max="1" width="6.5" customWidth="1"/>
    <col min="2" max="2" width="14.25" bestFit="1" customWidth="1"/>
    <col min="7" max="7" width="6.25" bestFit="1" customWidth="1"/>
  </cols>
  <sheetData>
    <row r="1" spans="1:7" x14ac:dyDescent="0.25">
      <c r="A1" s="18" t="s">
        <v>40</v>
      </c>
      <c r="B1" s="18"/>
      <c r="E1" s="15" t="s">
        <v>50</v>
      </c>
      <c r="G1" s="15"/>
    </row>
    <row r="2" spans="1:7" x14ac:dyDescent="0.25">
      <c r="A2" t="s">
        <v>45</v>
      </c>
      <c r="B2" t="s">
        <v>46</v>
      </c>
      <c r="E2" t="s">
        <v>51</v>
      </c>
    </row>
    <row r="3" spans="1:7" x14ac:dyDescent="0.25">
      <c r="A3" t="s">
        <v>47</v>
      </c>
      <c r="B3" t="s">
        <v>53</v>
      </c>
      <c r="E3" t="s">
        <v>56</v>
      </c>
    </row>
    <row r="4" spans="1:7" x14ac:dyDescent="0.25">
      <c r="A4" t="s">
        <v>42</v>
      </c>
      <c r="B4" t="s">
        <v>43</v>
      </c>
      <c r="E4" t="s">
        <v>52</v>
      </c>
    </row>
    <row r="5" spans="1:7" x14ac:dyDescent="0.25">
      <c r="A5" t="s">
        <v>49</v>
      </c>
      <c r="B5" t="s">
        <v>54</v>
      </c>
    </row>
    <row r="6" spans="1:7" x14ac:dyDescent="0.25">
      <c r="A6" t="s">
        <v>48</v>
      </c>
      <c r="B6" t="s">
        <v>55</v>
      </c>
    </row>
    <row r="7" spans="1:7" x14ac:dyDescent="0.25">
      <c r="A7" t="s">
        <v>41</v>
      </c>
      <c r="B7" t="s">
        <v>44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Price and margin</vt:lpstr>
      <vt:lpstr>About</vt:lpstr>
      <vt:lpstr>buyer_initial_margin</vt:lpstr>
      <vt:lpstr>buyer_maintenance_margin</vt:lpstr>
      <vt:lpstr>initial_margin_markup</vt:lpstr>
      <vt:lpstr>notional</vt:lpstr>
      <vt:lpstr>seller_initial_margin</vt:lpstr>
      <vt:lpstr>seller_maintenance_margin</vt:lpstr>
      <vt:lpstr>start_spot_price</vt:lpstr>
      <vt:lpstr>strike</vt:lpstr>
      <vt:lpstr>trend</vt:lpstr>
      <vt:lpstr>volatility</vt:lpstr>
      <vt:lpstr>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cjame</cp:lastModifiedBy>
  <dcterms:created xsi:type="dcterms:W3CDTF">2015-02-19T19:55:49Z</dcterms:created>
  <dcterms:modified xsi:type="dcterms:W3CDTF">2020-01-16T20:27:13Z</dcterms:modified>
</cp:coreProperties>
</file>